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240" windowWidth="20460" windowHeight="7515" activeTab="1"/>
  </bookViews>
  <sheets>
    <sheet name="Graph" sheetId="4" r:id="rId1"/>
    <sheet name="Input sheet" sheetId="2" r:id="rId2"/>
    <sheet name="Data table" sheetId="1" r:id="rId3"/>
    <sheet name="form control" sheetId="3" r:id="rId4"/>
  </sheets>
  <definedNames>
    <definedName name="_xlnm.Print_Area" localSheetId="1">'Input sheet'!$A$1:$N$44</definedName>
  </definedNames>
  <calcPr calcId="145621" iterate="1" iterateDelta="1.0000000000000001E-5" calcOnSave="0"/>
</workbook>
</file>

<file path=xl/calcChain.xml><?xml version="1.0" encoding="utf-8"?>
<calcChain xmlns="http://schemas.openxmlformats.org/spreadsheetml/2006/main">
  <c r="C16" i="4" l="1"/>
  <c r="K9" i="1" l="1"/>
  <c r="C17" i="4"/>
  <c r="D17" i="4" s="1"/>
  <c r="K8" i="1"/>
  <c r="J8" i="1" s="1"/>
  <c r="C11" i="4" l="1"/>
  <c r="F13" i="3" l="1"/>
  <c r="F10" i="3"/>
  <c r="F7" i="3"/>
  <c r="F3" i="3"/>
  <c r="C13" i="4"/>
  <c r="C10" i="4"/>
  <c r="C9" i="4"/>
  <c r="C20" i="4"/>
  <c r="C14" i="4"/>
  <c r="C18" i="4"/>
  <c r="C7" i="4"/>
  <c r="I16" i="1"/>
  <c r="D13" i="4" l="1"/>
  <c r="D10" i="4"/>
  <c r="D9" i="4"/>
  <c r="D20" i="4"/>
  <c r="D14" i="4"/>
  <c r="D18" i="4"/>
  <c r="D16" i="4"/>
  <c r="D7" i="4"/>
  <c r="D13" i="3" l="1"/>
  <c r="K10" i="1" l="1"/>
  <c r="C5" i="4" s="1"/>
  <c r="D5" i="4" s="1"/>
  <c r="K11" i="1"/>
  <c r="C15" i="4" l="1"/>
  <c r="D15" i="4" s="1"/>
  <c r="C12" i="4"/>
  <c r="D12" i="4" s="1"/>
  <c r="J11" i="1"/>
  <c r="C19" i="4"/>
  <c r="D19" i="4" s="1"/>
  <c r="J9" i="1"/>
  <c r="D11" i="4"/>
  <c r="J3" i="1"/>
  <c r="E3" i="1"/>
  <c r="J10" i="1"/>
  <c r="G13" i="3"/>
  <c r="F15" i="2" s="1"/>
  <c r="L15" i="2"/>
  <c r="J5" i="1" l="1"/>
  <c r="J6" i="1"/>
  <c r="J7" i="1"/>
  <c r="J13" i="1"/>
  <c r="J15" i="1"/>
  <c r="J17" i="1"/>
  <c r="J18" i="1"/>
  <c r="L9" i="2" l="1"/>
  <c r="L13" i="2"/>
  <c r="L11" i="2"/>
  <c r="G10" i="3"/>
  <c r="F13" i="2" s="1"/>
  <c r="D7" i="3"/>
  <c r="E12" i="1" l="1"/>
  <c r="G7" i="3" l="1"/>
  <c r="F11" i="2" s="1"/>
  <c r="G3" i="3"/>
  <c r="F9" i="2" s="1"/>
  <c r="E5" i="1"/>
  <c r="E7" i="3" s="1"/>
  <c r="E6" i="1"/>
  <c r="E7" i="1"/>
  <c r="E13" i="1"/>
  <c r="E14" i="1"/>
  <c r="E15" i="1"/>
  <c r="E16" i="1"/>
  <c r="E17" i="1"/>
  <c r="E18" i="1"/>
  <c r="E13" i="3" s="1"/>
  <c r="J15" i="2" s="1"/>
  <c r="J11" i="2" l="1"/>
  <c r="H4" i="1" l="1"/>
  <c r="E4" i="1" s="1"/>
  <c r="F4" i="1"/>
  <c r="E10" i="3" l="1"/>
  <c r="E3" i="3"/>
  <c r="K4" i="1"/>
  <c r="I18" i="1"/>
  <c r="I17" i="1"/>
  <c r="C6" i="4" l="1"/>
  <c r="D6" i="4" s="1"/>
  <c r="D3" i="3"/>
  <c r="J9" i="2" s="1"/>
  <c r="C8" i="4"/>
  <c r="D8" i="4" s="1"/>
  <c r="I4" i="1"/>
  <c r="J4" i="1"/>
  <c r="I13" i="1"/>
  <c r="I7" i="1" l="1"/>
  <c r="G3" i="1" l="1"/>
  <c r="G4" i="1" s="1"/>
  <c r="I15" i="1" l="1"/>
  <c r="I6" i="1"/>
  <c r="I5" i="1"/>
  <c r="I3" i="1"/>
  <c r="I14" i="1" l="1"/>
  <c r="J14" i="1"/>
  <c r="J16" i="1"/>
  <c r="D10" i="3"/>
  <c r="J13" i="2" s="1"/>
  <c r="I12" i="1" l="1"/>
  <c r="J12" i="1"/>
</calcChain>
</file>

<file path=xl/sharedStrings.xml><?xml version="1.0" encoding="utf-8"?>
<sst xmlns="http://schemas.openxmlformats.org/spreadsheetml/2006/main" count="152" uniqueCount="91">
  <si>
    <t>Energy Source/Alternative Fuel</t>
  </si>
  <si>
    <t>CNG</t>
  </si>
  <si>
    <t>LNG</t>
  </si>
  <si>
    <t>LPG/Propane</t>
  </si>
  <si>
    <t>Ethanol (Corn)</t>
  </si>
  <si>
    <t>WTW</t>
  </si>
  <si>
    <t>Diesel (ULSD)</t>
  </si>
  <si>
    <t>References</t>
  </si>
  <si>
    <t>[1] Life Cycle Analysis Report, http://www.ofm.wa.gov/initiatives/cleanfuelstandards/Documents/Carbon_Fuel_Standard_evaluation_2014_final.pdf</t>
  </si>
  <si>
    <t>[2] Per GREET1 model, spreadsheet sent from Scott</t>
  </si>
  <si>
    <t>lbs CO2/MWh</t>
  </si>
  <si>
    <t>Electricity (Seattle City Light)</t>
  </si>
  <si>
    <t>Electricity (Puget Sound Energy)</t>
  </si>
  <si>
    <t>[3] CA-GREET 2.0</t>
  </si>
  <si>
    <t>[5] CA Energy Almanac http://www.energyalmanac.ca.gov/transportation/gge.html</t>
  </si>
  <si>
    <t>GGE [5]</t>
  </si>
  <si>
    <t>DGE [5]</t>
  </si>
  <si>
    <t>BTU/gallon [5]</t>
  </si>
  <si>
    <t>[4] EPA Fuel Economy Impact Analysis (source cited by wikipedia) http://nepis.epa.gov/Exe/ZyNET.exe/P100B3FL.TXT?ZyActionD=ZyDocument&amp;Client=EPA&amp;Index=1995+Thru+1999&amp;Docs=&amp;Query=&amp;Time=&amp;EndTime=&amp;SearchMethod=1&amp;TocRestrict=n&amp;Toc=&amp;TocEntry=&amp;QField=&amp;QFieldYear=&amp;QFieldMonth=&amp;QFieldDay=&amp;IntQFieldOp=0&amp;ExtQFieldOp=0&amp;XmlQuery=&amp;File=D%3A%5Czyfiles%5CIndex%20Data%5C95thru99%5CTxt%5C00000031%5CP100B3FL.txt&amp;User=ANONYMOUS&amp;Password=anonymous&amp;SortMethod=h%7C-&amp;MaximumDocuments=1&amp;FuzzyDegree=0&amp;ImageQuality=r75g8/r75g8/x150y150g16/i425&amp;Display=p%7Cf&amp;DefSeekPage=x&amp;SearchBack=ZyActionL&amp;Back=ZyActionS&amp;BackDesc=Results%20page&amp;MaximumPages=1&amp;ZyEntry=1&amp;SeekPage=x&amp;ZyPURL</t>
  </si>
  <si>
    <t>Gasoline (pure)</t>
  </si>
  <si>
    <t>Gasoline (E10)</t>
  </si>
  <si>
    <t>Ethanol (Sugar Cane)</t>
  </si>
  <si>
    <t>Greenhouse Gas Analysis: Transportation Emissions</t>
  </si>
  <si>
    <t xml:space="preserve">Prepared for: </t>
  </si>
  <si>
    <t>testing form control</t>
  </si>
  <si>
    <t>[7] Greenhouse Gas Protocol Combustion GHG Emission Calculation tool v 2.6</t>
  </si>
  <si>
    <t>lbsCO2e/GGE</t>
  </si>
  <si>
    <t>Fuel types</t>
  </si>
  <si>
    <t>Form control</t>
  </si>
  <si>
    <t>source</t>
  </si>
  <si>
    <t>A</t>
  </si>
  <si>
    <t>B</t>
  </si>
  <si>
    <t>C</t>
  </si>
  <si>
    <t>D</t>
  </si>
  <si>
    <t>units</t>
  </si>
  <si>
    <t xml:space="preserve">Quantity used </t>
  </si>
  <si>
    <t>typical units</t>
  </si>
  <si>
    <t>vlookup table</t>
  </si>
  <si>
    <t>combo box links</t>
  </si>
  <si>
    <t>MJ/preferred unit</t>
  </si>
  <si>
    <t>Mj/unit</t>
  </si>
  <si>
    <t>[6] EPA EGRID http://www2.epa.gov/energy/egrid</t>
  </si>
  <si>
    <t>Emission factor source</t>
  </si>
  <si>
    <t xml:space="preserve">Date: </t>
  </si>
  <si>
    <t>114,118 BTU's/GGE NIST handbook 44</t>
  </si>
  <si>
    <r>
      <t>gCO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e/MJ (grams of carbon dioxide per energy unit produced in mega joules, aka "carbon intensity")</t>
    </r>
  </si>
  <si>
    <t>Carbon Intensity References</t>
  </si>
  <si>
    <t>Additional References</t>
  </si>
  <si>
    <t>CA Energy Almanac for BTU/gallon, GGE and DGE</t>
  </si>
  <si>
    <t>Electricity (Avista)</t>
  </si>
  <si>
    <t>emission factor type</t>
  </si>
  <si>
    <t>Megawatt hours</t>
  </si>
  <si>
    <t>CA-GREET 2.0 (June 2015 release)</t>
  </si>
  <si>
    <t>using NW electricity factors for feedstock and fuel production</t>
  </si>
  <si>
    <t>GREET 1_2015</t>
  </si>
  <si>
    <t>Gallons</t>
  </si>
  <si>
    <t>Gasoline Gallon Equivalents</t>
  </si>
  <si>
    <t>Diesel Gallon Equivalents</t>
  </si>
  <si>
    <t>WA Life Cycle Associates Report 2014</t>
  </si>
  <si>
    <t>Biodiesel (B100 Soy)</t>
  </si>
  <si>
    <t>Biodiesel (B100 Used Cooking Oil)</t>
  </si>
  <si>
    <t>Well to wheel lbs. CO2e / gasoline gallon equivalent</t>
  </si>
  <si>
    <t xml:space="preserve">g CO2e / MJ </t>
  </si>
  <si>
    <t>Biodiesel (B100 Canola)</t>
  </si>
  <si>
    <t>Fuel Type</t>
  </si>
  <si>
    <t>RNG (landfill)</t>
  </si>
  <si>
    <t>Units</t>
  </si>
  <si>
    <t>assumes NW collection and refining</t>
  </si>
  <si>
    <t>CA-GREET 2.0 tier 1 model (June 2015 release)</t>
  </si>
  <si>
    <t>compressed RNG using NW electricity factors for feedstock and fuel production</t>
  </si>
  <si>
    <t>Avista 2015 performance report "The Power of Shared Value</t>
  </si>
  <si>
    <t>2013 data.  https://www.theclimateregistry.org/wp-content/uploads/2014/11/2016-Climate-Registry-Default-Emission-Factors.pdf</t>
  </si>
  <si>
    <t>2014 PSE Greenhouse Gas Inventory</t>
  </si>
  <si>
    <t>Electricity (WECC Northwest subregion)</t>
  </si>
  <si>
    <t>Ethanol (corn)</t>
  </si>
  <si>
    <t>Ethanol (sugar cane)</t>
  </si>
  <si>
    <t>Biodiesel (B100 soy)</t>
  </si>
  <si>
    <t>Biodiesel (B100 canola)</t>
  </si>
  <si>
    <t>Biodiesel (B100 used cooking oil)</t>
  </si>
  <si>
    <t>EPA EGRID 2013 emission data</t>
  </si>
  <si>
    <t>Gasoline gallon equivalents</t>
  </si>
  <si>
    <t>emission factor</t>
  </si>
  <si>
    <t>Electricity (WECC Northwest sub region)</t>
  </si>
  <si>
    <t>The Climate Registry  retail electricity emission factor</t>
  </si>
  <si>
    <t xml:space="preserve">GHG intensity for total electric throughput. Cross checked against NRDC top power producers benchmarking report and found a similar number (1,192lbs/mwh 2013 data) indicating consistent methodology. </t>
  </si>
  <si>
    <t xml:space="preserve">"total energy electricity generation" 2013.  https://www.avistautilities.com/inside/sustainability/Documents/SVR2015/index.html#58. Cross checked against NRDC top power producers benchmark and found a very similar number (638lbs/mwh 2013 data) </t>
  </si>
  <si>
    <t>assumes Midwest feedstock, northwest refining</t>
  </si>
  <si>
    <t>dry mill, Midwest feedstock production &amp; refining</t>
  </si>
  <si>
    <t>Brazilian feedstock and refining</t>
  </si>
  <si>
    <t>*Bold number indicates the souce figure for the emission factor</t>
  </si>
  <si>
    <t>Well to wheel  greenhouse gases (metric tons)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</si>
</sst>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0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0" fillId="7" borderId="0" xfId="0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horizontal="center" wrapText="1"/>
    </xf>
    <xf numFmtId="3" fontId="0" fillId="6" borderId="0" xfId="0" applyNumberFormat="1" applyFill="1" applyBorder="1"/>
    <xf numFmtId="0" fontId="0" fillId="0" borderId="0" xfId="0" applyFill="1" applyBorder="1"/>
    <xf numFmtId="3" fontId="0" fillId="4" borderId="0" xfId="0" applyNumberFormat="1" applyFill="1" applyBorder="1"/>
    <xf numFmtId="166" fontId="0" fillId="4" borderId="0" xfId="0" applyNumberFormat="1" applyFill="1" applyBorder="1"/>
    <xf numFmtId="166" fontId="0" fillId="7" borderId="0" xfId="0" applyNumberFormat="1" applyFill="1" applyBorder="1"/>
    <xf numFmtId="0" fontId="7" fillId="4" borderId="0" xfId="0" applyFont="1" applyFill="1" applyBorder="1"/>
    <xf numFmtId="0" fontId="4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9" borderId="0" xfId="0" applyFill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4" borderId="15" xfId="0" applyFill="1" applyBorder="1" applyProtection="1">
      <protection locked="0"/>
    </xf>
    <xf numFmtId="0" fontId="0" fillId="5" borderId="0" xfId="0" applyFill="1" applyProtection="1">
      <protection locked="0"/>
    </xf>
    <xf numFmtId="0" fontId="0" fillId="10" borderId="0" xfId="0" applyFill="1" applyProtection="1">
      <protection locked="0"/>
    </xf>
    <xf numFmtId="0" fontId="0" fillId="11" borderId="0" xfId="0" applyFill="1" applyProtection="1">
      <protection locked="0"/>
    </xf>
    <xf numFmtId="0" fontId="0" fillId="11" borderId="13" xfId="0" applyFill="1" applyBorder="1" applyProtection="1">
      <protection locked="0"/>
    </xf>
    <xf numFmtId="0" fontId="0" fillId="9" borderId="0" xfId="0" applyFill="1" applyProtection="1"/>
    <xf numFmtId="0" fontId="0" fillId="5" borderId="0" xfId="0" applyFill="1" applyProtection="1"/>
    <xf numFmtId="0" fontId="0" fillId="10" borderId="0" xfId="0" applyFill="1" applyProtection="1"/>
    <xf numFmtId="0" fontId="0" fillId="0" borderId="0" xfId="0" applyProtection="1"/>
    <xf numFmtId="0" fontId="0" fillId="11" borderId="0" xfId="0" applyFill="1" applyProtection="1"/>
    <xf numFmtId="0" fontId="0" fillId="0" borderId="4" xfId="0" applyBorder="1" applyProtection="1"/>
    <xf numFmtId="0" fontId="0" fillId="0" borderId="6" xfId="0" applyBorder="1" applyAlignment="1" applyProtection="1">
      <alignment vertical="center"/>
    </xf>
    <xf numFmtId="0" fontId="0" fillId="0" borderId="7" xfId="0" applyBorder="1" applyProtection="1"/>
    <xf numFmtId="0" fontId="0" fillId="0" borderId="8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11" borderId="12" xfId="0" applyFill="1" applyBorder="1" applyProtection="1"/>
    <xf numFmtId="0" fontId="0" fillId="10" borderId="12" xfId="0" applyFill="1" applyBorder="1" applyProtection="1"/>
    <xf numFmtId="0" fontId="0" fillId="5" borderId="12" xfId="0" applyFill="1" applyBorder="1" applyProtection="1"/>
    <xf numFmtId="0" fontId="0" fillId="9" borderId="12" xfId="0" applyFill="1" applyBorder="1" applyProtection="1"/>
    <xf numFmtId="0" fontId="0" fillId="0" borderId="0" xfId="0" applyFill="1" applyProtection="1">
      <protection locked="0"/>
    </xf>
    <xf numFmtId="0" fontId="1" fillId="0" borderId="0" xfId="0" applyFont="1" applyFill="1" applyAlignment="1" applyProtection="1">
      <protection locked="0"/>
    </xf>
    <xf numFmtId="0" fontId="0" fillId="0" borderId="0" xfId="0" applyFill="1" applyAlignment="1" applyProtection="1">
      <alignment wrapText="1"/>
      <protection locked="0"/>
    </xf>
    <xf numFmtId="0" fontId="5" fillId="5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5" fillId="3" borderId="0" xfId="0" applyFont="1" applyFill="1" applyAlignment="1" applyProtection="1">
      <alignment horizontal="center" wrapText="1"/>
      <protection locked="0"/>
    </xf>
    <xf numFmtId="0" fontId="5" fillId="3" borderId="0" xfId="0" applyFont="1" applyFill="1" applyProtection="1">
      <protection locked="0"/>
    </xf>
    <xf numFmtId="0" fontId="5" fillId="3" borderId="0" xfId="0" applyFont="1" applyFill="1" applyAlignment="1" applyProtection="1">
      <alignment wrapText="1"/>
      <protection locked="0"/>
    </xf>
    <xf numFmtId="0" fontId="5" fillId="2" borderId="0" xfId="0" applyFont="1" applyFill="1" applyAlignment="1" applyProtection="1">
      <alignment horizontal="center" wrapText="1"/>
      <protection locked="0"/>
    </xf>
    <xf numFmtId="0" fontId="5" fillId="2" borderId="0" xfId="0" applyFont="1" applyFill="1" applyAlignment="1" applyProtection="1">
      <alignment wrapText="1"/>
      <protection locked="0"/>
    </xf>
    <xf numFmtId="0" fontId="0" fillId="5" borderId="13" xfId="0" applyFill="1" applyBorder="1" applyProtection="1">
      <protection locked="0"/>
    </xf>
    <xf numFmtId="0" fontId="0" fillId="0" borderId="0" xfId="0" applyFill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165" fontId="0" fillId="0" borderId="0" xfId="0" applyNumberFormat="1" applyFill="1" applyAlignment="1" applyProtection="1">
      <alignment horizontal="center" wrapText="1"/>
      <protection locked="0"/>
    </xf>
    <xf numFmtId="0" fontId="0" fillId="5" borderId="15" xfId="0" applyFill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3" fontId="0" fillId="0" borderId="0" xfId="0" applyNumberFormat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3" xfId="0" applyBorder="1" applyProtection="1">
      <protection locked="0"/>
    </xf>
    <xf numFmtId="0" fontId="0" fillId="5" borderId="14" xfId="0" applyFill="1" applyBorder="1" applyProtection="1"/>
    <xf numFmtId="0" fontId="0" fillId="8" borderId="6" xfId="0" applyFill="1" applyBorder="1" applyAlignment="1" applyProtection="1">
      <alignment vertical="center" wrapText="1"/>
    </xf>
    <xf numFmtId="0" fontId="0" fillId="8" borderId="1" xfId="0" applyFont="1" applyFill="1" applyBorder="1" applyAlignment="1" applyProtection="1">
      <alignment horizontal="center"/>
    </xf>
    <xf numFmtId="166" fontId="0" fillId="8" borderId="10" xfId="0" applyNumberFormat="1" applyFill="1" applyBorder="1" applyProtection="1"/>
    <xf numFmtId="0" fontId="0" fillId="8" borderId="10" xfId="0" applyFill="1" applyBorder="1" applyProtection="1"/>
    <xf numFmtId="164" fontId="0" fillId="8" borderId="10" xfId="0" applyNumberFormat="1" applyFill="1" applyBorder="1" applyProtection="1"/>
    <xf numFmtId="3" fontId="0" fillId="8" borderId="10" xfId="0" applyNumberFormat="1" applyFill="1" applyBorder="1" applyProtection="1"/>
    <xf numFmtId="2" fontId="0" fillId="8" borderId="10" xfId="0" applyNumberFormat="1" applyFont="1" applyFill="1" applyBorder="1" applyAlignment="1" applyProtection="1">
      <alignment horizontal="right"/>
    </xf>
    <xf numFmtId="2" fontId="5" fillId="8" borderId="10" xfId="0" applyNumberFormat="1" applyFont="1" applyFill="1" applyBorder="1" applyProtection="1"/>
    <xf numFmtId="0" fontId="0" fillId="4" borderId="6" xfId="0" applyFill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center"/>
    </xf>
    <xf numFmtId="166" fontId="0" fillId="0" borderId="10" xfId="0" applyNumberFormat="1" applyBorder="1" applyProtection="1"/>
    <xf numFmtId="164" fontId="0" fillId="0" borderId="10" xfId="0" applyNumberFormat="1" applyBorder="1" applyProtection="1"/>
    <xf numFmtId="3" fontId="8" fillId="0" borderId="10" xfId="0" applyNumberFormat="1" applyFont="1" applyBorder="1" applyProtection="1"/>
    <xf numFmtId="2" fontId="0" fillId="0" borderId="10" xfId="0" applyNumberFormat="1" applyFont="1" applyBorder="1" applyAlignment="1" applyProtection="1">
      <alignment horizontal="right"/>
    </xf>
    <xf numFmtId="2" fontId="0" fillId="0" borderId="10" xfId="0" applyNumberFormat="1" applyFont="1" applyFill="1" applyBorder="1" applyAlignment="1" applyProtection="1">
      <alignment horizontal="right"/>
    </xf>
    <xf numFmtId="2" fontId="5" fillId="0" borderId="10" xfId="0" applyNumberFormat="1" applyFont="1" applyFill="1" applyBorder="1" applyProtection="1"/>
    <xf numFmtId="0" fontId="0" fillId="8" borderId="17" xfId="0" applyFill="1" applyBorder="1" applyAlignment="1" applyProtection="1">
      <alignment vertical="center" wrapText="1"/>
    </xf>
    <xf numFmtId="0" fontId="8" fillId="8" borderId="10" xfId="0" applyFont="1" applyFill="1" applyBorder="1" applyProtection="1"/>
    <xf numFmtId="3" fontId="8" fillId="8" borderId="10" xfId="0" applyNumberFormat="1" applyFont="1" applyFill="1" applyBorder="1" applyProtection="1"/>
    <xf numFmtId="0" fontId="0" fillId="0" borderId="17" xfId="0" applyBorder="1" applyAlignment="1" applyProtection="1">
      <alignment vertical="center" wrapText="1"/>
    </xf>
    <xf numFmtId="0" fontId="8" fillId="0" borderId="10" xfId="0" applyFont="1" applyBorder="1" applyProtection="1"/>
    <xf numFmtId="0" fontId="0" fillId="0" borderId="10" xfId="0" applyBorder="1" applyProtection="1"/>
    <xf numFmtId="3" fontId="8" fillId="0" borderId="10" xfId="0" applyNumberFormat="1" applyFont="1" applyBorder="1" applyAlignment="1" applyProtection="1">
      <alignment horizontal="right"/>
    </xf>
    <xf numFmtId="2" fontId="5" fillId="8" borderId="21" xfId="0" applyNumberFormat="1" applyFont="1" applyFill="1" applyBorder="1" applyProtection="1"/>
    <xf numFmtId="0" fontId="0" fillId="4" borderId="17" xfId="0" applyFill="1" applyBorder="1" applyAlignment="1" applyProtection="1">
      <alignment vertical="center" wrapText="1"/>
    </xf>
    <xf numFmtId="0" fontId="0" fillId="4" borderId="1" xfId="0" applyFont="1" applyFill="1" applyBorder="1" applyAlignment="1" applyProtection="1">
      <alignment horizontal="center"/>
    </xf>
    <xf numFmtId="166" fontId="0" fillId="4" borderId="10" xfId="0" applyNumberFormat="1" applyFill="1" applyBorder="1" applyProtection="1"/>
    <xf numFmtId="0" fontId="8" fillId="4" borderId="10" xfId="0" applyFont="1" applyFill="1" applyBorder="1" applyProtection="1"/>
    <xf numFmtId="0" fontId="0" fillId="4" borderId="10" xfId="0" applyFill="1" applyBorder="1" applyProtection="1"/>
    <xf numFmtId="3" fontId="8" fillId="4" borderId="10" xfId="0" applyNumberFormat="1" applyFont="1" applyFill="1" applyBorder="1" applyProtection="1"/>
    <xf numFmtId="2" fontId="0" fillId="4" borderId="10" xfId="0" applyNumberFormat="1" applyFont="1" applyFill="1" applyBorder="1" applyAlignment="1" applyProtection="1">
      <alignment horizontal="right"/>
    </xf>
    <xf numFmtId="2" fontId="5" fillId="4" borderId="0" xfId="0" applyNumberFormat="1" applyFont="1" applyFill="1" applyBorder="1" applyProtection="1"/>
    <xf numFmtId="3" fontId="8" fillId="8" borderId="10" xfId="0" applyNumberFormat="1" applyFont="1" applyFill="1" applyBorder="1" applyAlignment="1" applyProtection="1">
      <alignment horizontal="right"/>
    </xf>
    <xf numFmtId="2" fontId="5" fillId="8" borderId="10" xfId="0" applyNumberFormat="1" applyFont="1" applyFill="1" applyBorder="1" applyAlignment="1" applyProtection="1">
      <alignment horizontal="right"/>
    </xf>
    <xf numFmtId="2" fontId="0" fillId="8" borderId="21" xfId="0" applyNumberFormat="1" applyFont="1" applyFill="1" applyBorder="1" applyProtection="1"/>
    <xf numFmtId="3" fontId="8" fillId="4" borderId="10" xfId="0" applyNumberFormat="1" applyFont="1" applyFill="1" applyBorder="1" applyAlignment="1" applyProtection="1">
      <alignment horizontal="right"/>
    </xf>
    <xf numFmtId="2" fontId="5" fillId="4" borderId="10" xfId="0" applyNumberFormat="1" applyFont="1" applyFill="1" applyBorder="1" applyAlignment="1" applyProtection="1">
      <alignment horizontal="right"/>
    </xf>
    <xf numFmtId="2" fontId="0" fillId="4" borderId="21" xfId="0" applyNumberFormat="1" applyFont="1" applyFill="1" applyBorder="1" applyProtection="1"/>
    <xf numFmtId="0" fontId="0" fillId="8" borderId="22" xfId="0" applyFill="1" applyBorder="1" applyAlignment="1" applyProtection="1">
      <alignment vertical="center" wrapText="1"/>
    </xf>
    <xf numFmtId="0" fontId="0" fillId="8" borderId="3" xfId="0" applyFont="1" applyFill="1" applyBorder="1" applyAlignment="1" applyProtection="1">
      <alignment horizontal="center"/>
    </xf>
    <xf numFmtId="166" fontId="0" fillId="8" borderId="9" xfId="0" applyNumberFormat="1" applyFill="1" applyBorder="1" applyProtection="1"/>
    <xf numFmtId="0" fontId="0" fillId="0" borderId="18" xfId="0" applyBorder="1" applyAlignment="1" applyProtection="1">
      <alignment vertical="center" wrapText="1"/>
    </xf>
    <xf numFmtId="3" fontId="0" fillId="0" borderId="10" xfId="0" applyNumberFormat="1" applyBorder="1" applyAlignment="1" applyProtection="1">
      <alignment horizontal="right"/>
    </xf>
    <xf numFmtId="3" fontId="0" fillId="0" borderId="10" xfId="0" applyNumberFormat="1" applyBorder="1" applyProtection="1"/>
    <xf numFmtId="0" fontId="0" fillId="5" borderId="16" xfId="0" applyFill="1" applyBorder="1" applyProtection="1"/>
    <xf numFmtId="0" fontId="0" fillId="0" borderId="22" xfId="0" applyBorder="1" applyAlignment="1" applyProtection="1">
      <alignment vertical="center" wrapText="1"/>
    </xf>
    <xf numFmtId="2" fontId="5" fillId="0" borderId="10" xfId="0" applyNumberFormat="1" applyFont="1" applyFill="1" applyBorder="1" applyAlignment="1" applyProtection="1">
      <alignment horizontal="right"/>
    </xf>
    <xf numFmtId="0" fontId="9" fillId="13" borderId="0" xfId="0" applyFont="1" applyFill="1" applyProtection="1">
      <protection locked="0"/>
    </xf>
    <xf numFmtId="0" fontId="9" fillId="13" borderId="0" xfId="0" applyFont="1" applyFill="1" applyAlignment="1" applyProtection="1">
      <alignment horizontal="center" wrapText="1"/>
      <protection locked="0"/>
    </xf>
    <xf numFmtId="0" fontId="0" fillId="0" borderId="19" xfId="0" applyFill="1" applyBorder="1" applyAlignment="1" applyProtection="1">
      <alignment vertical="center"/>
      <protection locked="0"/>
    </xf>
    <xf numFmtId="165" fontId="0" fillId="0" borderId="20" xfId="0" applyNumberFormat="1" applyFill="1" applyBorder="1" applyProtection="1">
      <protection locked="0"/>
    </xf>
    <xf numFmtId="0" fontId="0" fillId="12" borderId="19" xfId="0" applyFill="1" applyBorder="1" applyAlignment="1" applyProtection="1">
      <alignment vertical="center"/>
      <protection locked="0"/>
    </xf>
    <xf numFmtId="165" fontId="0" fillId="12" borderId="20" xfId="0" applyNumberFormat="1" applyFill="1" applyBorder="1" applyProtection="1">
      <protection locked="0"/>
    </xf>
    <xf numFmtId="0" fontId="0" fillId="4" borderId="19" xfId="0" applyFill="1" applyBorder="1" applyAlignment="1" applyProtection="1">
      <alignment vertical="center"/>
      <protection locked="0"/>
    </xf>
    <xf numFmtId="165" fontId="0" fillId="4" borderId="20" xfId="0" applyNumberFormat="1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0" borderId="5" xfId="0" applyFill="1" applyBorder="1" applyAlignment="1" applyProtection="1">
      <alignment vertical="center"/>
      <protection locked="0"/>
    </xf>
    <xf numFmtId="165" fontId="0" fillId="0" borderId="5" xfId="0" applyNumberFormat="1" applyFon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4" borderId="21" xfId="0" applyNumberFormat="1" applyFont="1" applyFill="1" applyBorder="1" applyProtection="1"/>
    <xf numFmtId="165" fontId="0" fillId="12" borderId="21" xfId="0" applyNumberFormat="1" applyFont="1" applyFill="1" applyBorder="1" applyProtection="1"/>
    <xf numFmtId="165" fontId="0" fillId="4" borderId="21" xfId="0" applyNumberFormat="1" applyFill="1" applyBorder="1" applyProtection="1"/>
    <xf numFmtId="0" fontId="5" fillId="0" borderId="0" xfId="0" applyFont="1" applyProtection="1">
      <protection locked="0"/>
    </xf>
    <xf numFmtId="0" fontId="0" fillId="4" borderId="0" xfId="0" applyFill="1" applyBorder="1" applyAlignment="1">
      <alignment horizontal="center"/>
    </xf>
    <xf numFmtId="0" fontId="0" fillId="0" borderId="0" xfId="0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Well to Wheel Green</a:t>
            </a:r>
            <a:r>
              <a:rPr lang="en-US" baseline="0"/>
              <a:t>house Gases</a:t>
            </a:r>
            <a:r>
              <a:rPr lang="en-US"/>
              <a:t> Per Gasoline Gallon Equivalent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49654697418142"/>
          <c:y val="0.1056561432645778"/>
          <c:w val="0.85557826548277205"/>
          <c:h val="0.552247579222088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Graph!$D$5:$D$20</c:f>
              <c:strCache>
                <c:ptCount val="1"/>
                <c:pt idx="0">
                  <c:v>32.5 26.5 26.2 25.8 24.5 21.9 21.8 20.9 20.5 19.8 14.4 13.5 13.4 12.7 5.1 1.1</c:v>
                </c:pt>
              </c:strCache>
            </c:strRef>
          </c:tx>
          <c:invertIfNegative val="0"/>
          <c:cat>
            <c:strRef>
              <c:f>Graph!$B$5:$B$20</c:f>
              <c:strCache>
                <c:ptCount val="16"/>
                <c:pt idx="0">
                  <c:v>Electricity (Puget Sound Energy)</c:v>
                </c:pt>
                <c:pt idx="1">
                  <c:v>Diesel (ULSD)</c:v>
                </c:pt>
                <c:pt idx="2">
                  <c:v>Gasoline (pure)</c:v>
                </c:pt>
                <c:pt idx="3">
                  <c:v>Gasoline (E10)</c:v>
                </c:pt>
                <c:pt idx="4">
                  <c:v>LNG</c:v>
                </c:pt>
                <c:pt idx="5">
                  <c:v>Electricity (WECC Northwest sub region)</c:v>
                </c:pt>
                <c:pt idx="6">
                  <c:v>Ethanol (corn)</c:v>
                </c:pt>
                <c:pt idx="7">
                  <c:v>Electricity (Avista)</c:v>
                </c:pt>
                <c:pt idx="8">
                  <c:v>CNG</c:v>
                </c:pt>
                <c:pt idx="9">
                  <c:v>LPG/Propane</c:v>
                </c:pt>
                <c:pt idx="10">
                  <c:v>Biodiesel (B100 soy)</c:v>
                </c:pt>
                <c:pt idx="11">
                  <c:v>Biodiesel (B100 canola)</c:v>
                </c:pt>
                <c:pt idx="12">
                  <c:v>Ethanol (sugar cane)</c:v>
                </c:pt>
                <c:pt idx="13">
                  <c:v>RNG (landfill)</c:v>
                </c:pt>
                <c:pt idx="14">
                  <c:v>Biodiesel (B100 used cooking oil)</c:v>
                </c:pt>
                <c:pt idx="15">
                  <c:v>Electricity (Seattle City Light)</c:v>
                </c:pt>
              </c:strCache>
            </c:strRef>
          </c:cat>
          <c:val>
            <c:numRef>
              <c:f>Graph!$D$5:$D$20</c:f>
              <c:numCache>
                <c:formatCode>0.0</c:formatCode>
                <c:ptCount val="16"/>
                <c:pt idx="0">
                  <c:v>32.450000000000003</c:v>
                </c:pt>
                <c:pt idx="1">
                  <c:v>26.456932472056266</c:v>
                </c:pt>
                <c:pt idx="2">
                  <c:v>26.196785643422476</c:v>
                </c:pt>
                <c:pt idx="3">
                  <c:v>25.756877356202743</c:v>
                </c:pt>
                <c:pt idx="4">
                  <c:v>24.51883859873454</c:v>
                </c:pt>
                <c:pt idx="5">
                  <c:v>21.928333333333331</c:v>
                </c:pt>
                <c:pt idx="6">
                  <c:v>21.797702771225119</c:v>
                </c:pt>
                <c:pt idx="7">
                  <c:v>20.912222222222223</c:v>
                </c:pt>
                <c:pt idx="8">
                  <c:v>20.465751008620121</c:v>
                </c:pt>
                <c:pt idx="9">
                  <c:v>19.771158976167907</c:v>
                </c:pt>
                <c:pt idx="10">
                  <c:v>14.3731122820168</c:v>
                </c:pt>
                <c:pt idx="11">
                  <c:v>13.475605723230229</c:v>
                </c:pt>
                <c:pt idx="12">
                  <c:v>13.392358738067417</c:v>
                </c:pt>
                <c:pt idx="13">
                  <c:v>12.747194603055624</c:v>
                </c:pt>
                <c:pt idx="14">
                  <c:v>5.1144866509402771</c:v>
                </c:pt>
                <c:pt idx="15">
                  <c:v>1.0892055555555555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5"/>
        <c:overlap val="-11"/>
        <c:axId val="112715264"/>
        <c:axId val="112716800"/>
      </c:barChart>
      <c:catAx>
        <c:axId val="1127152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12716800"/>
        <c:crosses val="autoZero"/>
        <c:auto val="1"/>
        <c:lblAlgn val="ctr"/>
        <c:lblOffset val="100"/>
        <c:noMultiLvlLbl val="0"/>
      </c:catAx>
      <c:valAx>
        <c:axId val="1127168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Pounds GHG</a:t>
                </a:r>
              </a:p>
              <a:p>
                <a:pPr>
                  <a:defRPr/>
                </a:pPr>
                <a:r>
                  <a:rPr lang="en-US"/>
                  <a:t>Per Gasoline</a:t>
                </a:r>
                <a:r>
                  <a:rPr lang="en-US" baseline="0"/>
                  <a:t> </a:t>
                </a:r>
              </a:p>
              <a:p>
                <a:pPr>
                  <a:defRPr/>
                </a:pPr>
                <a:r>
                  <a:rPr lang="en-US" baseline="0"/>
                  <a:t>Gallon Equivalent </a:t>
                </a:r>
                <a:r>
                  <a:rPr lang="en-US"/>
                  <a:t> </a:t>
                </a:r>
              </a:p>
            </c:rich>
          </c:tx>
          <c:layout/>
          <c:overlay val="0"/>
        </c:title>
        <c:numFmt formatCode="0.0" sourceLinked="1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1271526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93000">
          <a:schemeClr val="bg1"/>
        </a:gs>
      </a:gsLst>
      <a:lin ang="16200000" scaled="0"/>
    </a:gradFill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6" dropStyle="combo" dx="16" fmlaLink="'form control'!$A$3" fmlaRange="'form control'!$C$3:$C$18" noThreeD="1" val="0"/>
</file>

<file path=xl/ctrlProps/ctrlProp2.xml><?xml version="1.0" encoding="utf-8"?>
<formControlPr xmlns="http://schemas.microsoft.com/office/spreadsheetml/2009/9/main" objectType="Drop" dropLines="16" dropStyle="combo" dx="16" fmlaLink="'form control'!$A$7" fmlaRange="'form control'!$C$3:$C$18" noThreeD="1" val="0"/>
</file>

<file path=xl/ctrlProps/ctrlProp3.xml><?xml version="1.0" encoding="utf-8"?>
<formControlPr xmlns="http://schemas.microsoft.com/office/spreadsheetml/2009/9/main" objectType="Drop" dropLines="16" dropStyle="combo" dx="16" fmlaLink="'form control'!$A$10" fmlaRange="'form control'!$C$3:$C$18" noThreeD="1" val="0"/>
</file>

<file path=xl/ctrlProps/ctrlProp4.xml><?xml version="1.0" encoding="utf-8"?>
<formControlPr xmlns="http://schemas.microsoft.com/office/spreadsheetml/2009/9/main" objectType="Drop" dropLines="16" dropStyle="combo" dx="16" fmlaLink="'form control'!$A$13" fmlaRange="'form control'!$C$3:$C$18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285749</xdr:colOff>
      <xdr:row>1</xdr:row>
      <xdr:rowOff>9524</xdr:rowOff>
    </xdr:from>
    <xdr:to>
      <xdr:col>23</xdr:col>
      <xdr:colOff>228598</xdr:colOff>
      <xdr:row>26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219988</xdr:colOff>
      <xdr:row>0</xdr:row>
      <xdr:rowOff>100846</xdr:rowOff>
    </xdr:from>
    <xdr:to>
      <xdr:col>11</xdr:col>
      <xdr:colOff>2962275</xdr:colOff>
      <xdr:row>7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7538" y="100846"/>
          <a:ext cx="3056612" cy="139457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0</xdr:rowOff>
        </xdr:from>
        <xdr:to>
          <xdr:col>2</xdr:col>
          <xdr:colOff>19050</xdr:colOff>
          <xdr:row>9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180975</xdr:rowOff>
        </xdr:from>
        <xdr:to>
          <xdr:col>2</xdr:col>
          <xdr:colOff>28575</xdr:colOff>
          <xdr:row>11</xdr:row>
          <xdr:rowOff>9525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0</xdr:rowOff>
        </xdr:from>
        <xdr:to>
          <xdr:col>2</xdr:col>
          <xdr:colOff>28575</xdr:colOff>
          <xdr:row>13</xdr:row>
          <xdr:rowOff>19050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14</xdr:row>
          <xdr:rowOff>0</xdr:rowOff>
        </xdr:from>
        <xdr:to>
          <xdr:col>2</xdr:col>
          <xdr:colOff>28575</xdr:colOff>
          <xdr:row>15</xdr:row>
          <xdr:rowOff>19050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2"/>
  <sheetViews>
    <sheetView zoomScale="80" zoomScaleNormal="80" workbookViewId="0">
      <selection activeCell="C13" sqref="C13"/>
    </sheetView>
  </sheetViews>
  <sheetFormatPr defaultRowHeight="15" x14ac:dyDescent="0.25"/>
  <cols>
    <col min="1" max="1" width="2.42578125" style="22" customWidth="1"/>
    <col min="2" max="2" width="31.5703125" style="22" customWidth="1"/>
    <col min="3" max="3" width="12.140625" style="22" customWidth="1"/>
    <col min="4" max="4" width="29" style="22" customWidth="1"/>
    <col min="5" max="16384" width="9.140625" style="22"/>
  </cols>
  <sheetData>
    <row r="4" spans="2:4" ht="38.25" customHeight="1" x14ac:dyDescent="0.25">
      <c r="B4" s="113" t="s">
        <v>64</v>
      </c>
      <c r="C4" s="113" t="s">
        <v>62</v>
      </c>
      <c r="D4" s="114" t="s">
        <v>61</v>
      </c>
    </row>
    <row r="5" spans="2:4" x14ac:dyDescent="0.25">
      <c r="B5" s="115" t="s">
        <v>12</v>
      </c>
      <c r="C5" s="125">
        <f>VLOOKUP(B5,'Data table'!$C$3:$K$18,9,FALSE)</f>
        <v>124.73725</v>
      </c>
      <c r="D5" s="116">
        <f t="shared" ref="D5:D20" si="0">(C5*118)/453.59</f>
        <v>32.450000000000003</v>
      </c>
    </row>
    <row r="6" spans="2:4" x14ac:dyDescent="0.25">
      <c r="B6" s="117" t="s">
        <v>6</v>
      </c>
      <c r="C6" s="126">
        <f>VLOOKUP(B6,'Data table'!$C$3:$K$18,9,FALSE)</f>
        <v>101.7</v>
      </c>
      <c r="D6" s="118">
        <f t="shared" si="0"/>
        <v>26.456932472056266</v>
      </c>
    </row>
    <row r="7" spans="2:4" x14ac:dyDescent="0.25">
      <c r="B7" s="119" t="s">
        <v>19</v>
      </c>
      <c r="C7" s="125">
        <f>VLOOKUP(B7,'Data table'!$C$3:$K$18,9,FALSE)</f>
        <v>100.7</v>
      </c>
      <c r="D7" s="120">
        <f t="shared" si="0"/>
        <v>26.196785643422476</v>
      </c>
    </row>
    <row r="8" spans="2:4" x14ac:dyDescent="0.25">
      <c r="B8" s="117" t="s">
        <v>20</v>
      </c>
      <c r="C8" s="126">
        <f>VLOOKUP(B8,'Data table'!$C$3:$K$18,9,FALSE)</f>
        <v>99.009000000000015</v>
      </c>
      <c r="D8" s="118">
        <f t="shared" si="0"/>
        <v>25.756877356202743</v>
      </c>
    </row>
    <row r="9" spans="2:4" x14ac:dyDescent="0.25">
      <c r="B9" s="119" t="s">
        <v>2</v>
      </c>
      <c r="C9" s="125">
        <f>VLOOKUP(B9,'Data table'!$C$3:$K$18,9,FALSE)</f>
        <v>94.25</v>
      </c>
      <c r="D9" s="120">
        <f t="shared" si="0"/>
        <v>24.51883859873454</v>
      </c>
    </row>
    <row r="10" spans="2:4" x14ac:dyDescent="0.25">
      <c r="B10" s="117" t="s">
        <v>82</v>
      </c>
      <c r="C10" s="126">
        <f>VLOOKUP(B10,'Data table'!$C$3:$K$18,9,FALSE)</f>
        <v>84.292141666666652</v>
      </c>
      <c r="D10" s="118">
        <f t="shared" si="0"/>
        <v>21.928333333333331</v>
      </c>
    </row>
    <row r="11" spans="2:4" x14ac:dyDescent="0.25">
      <c r="B11" s="119" t="s">
        <v>74</v>
      </c>
      <c r="C11" s="125">
        <f>VLOOKUP(B11,'Data table'!$C$3:$K$18,9,FALSE)</f>
        <v>83.79</v>
      </c>
      <c r="D11" s="120">
        <f t="shared" si="0"/>
        <v>21.797702771225119</v>
      </c>
    </row>
    <row r="12" spans="2:4" x14ac:dyDescent="0.25">
      <c r="B12" s="117" t="s">
        <v>49</v>
      </c>
      <c r="C12" s="126">
        <f>VLOOKUP(B12,'Data table'!$C$3:$K$18,9,FALSE)</f>
        <v>80.386227777777776</v>
      </c>
      <c r="D12" s="118">
        <f t="shared" si="0"/>
        <v>20.912222222222223</v>
      </c>
    </row>
    <row r="13" spans="2:4" x14ac:dyDescent="0.25">
      <c r="B13" s="119" t="s">
        <v>1</v>
      </c>
      <c r="C13" s="125">
        <f>VLOOKUP(B13,'Data table'!$C$3:$K$18,9,FALSE)</f>
        <v>78.67</v>
      </c>
      <c r="D13" s="120">
        <f t="shared" si="0"/>
        <v>20.465751008620121</v>
      </c>
    </row>
    <row r="14" spans="2:4" x14ac:dyDescent="0.25">
      <c r="B14" s="117" t="s">
        <v>3</v>
      </c>
      <c r="C14" s="126">
        <f>VLOOKUP(B14,'Data table'!$C$3:$K$18,9,FALSE)</f>
        <v>76</v>
      </c>
      <c r="D14" s="118">
        <f t="shared" si="0"/>
        <v>19.771158976167907</v>
      </c>
    </row>
    <row r="15" spans="2:4" x14ac:dyDescent="0.25">
      <c r="B15" s="119" t="s">
        <v>76</v>
      </c>
      <c r="C15" s="125">
        <f>VLOOKUP(B15,'Data table'!$C$3:$K$18,9,FALSE)</f>
        <v>55.25</v>
      </c>
      <c r="D15" s="120">
        <f t="shared" si="0"/>
        <v>14.3731122820168</v>
      </c>
    </row>
    <row r="16" spans="2:4" x14ac:dyDescent="0.25">
      <c r="B16" s="117" t="s">
        <v>77</v>
      </c>
      <c r="C16" s="126">
        <f>VLOOKUP(B16,'Data table'!$C$3:$K$18,9,FALSE)</f>
        <v>51.8</v>
      </c>
      <c r="D16" s="118">
        <f t="shared" si="0"/>
        <v>13.475605723230229</v>
      </c>
    </row>
    <row r="17" spans="2:4" x14ac:dyDescent="0.25">
      <c r="B17" s="121" t="s">
        <v>75</v>
      </c>
      <c r="C17" s="127">
        <f>VLOOKUP(B17,'Data table'!$C$3:$K$18,9,FALSE)</f>
        <v>51.48</v>
      </c>
      <c r="D17" s="120">
        <f t="shared" si="0"/>
        <v>13.392358738067417</v>
      </c>
    </row>
    <row r="18" spans="2:4" x14ac:dyDescent="0.25">
      <c r="B18" s="117" t="s">
        <v>65</v>
      </c>
      <c r="C18" s="126">
        <f>VLOOKUP(B18,'Data table'!$C$3:$K$18,9,FALSE)</f>
        <v>49</v>
      </c>
      <c r="D18" s="118">
        <f t="shared" si="0"/>
        <v>12.747194603055624</v>
      </c>
    </row>
    <row r="19" spans="2:4" x14ac:dyDescent="0.25">
      <c r="B19" s="119" t="s">
        <v>78</v>
      </c>
      <c r="C19" s="125">
        <f>VLOOKUP(B19,'Data table'!$C$3:$K$18,9,FALSE)</f>
        <v>19.66</v>
      </c>
      <c r="D19" s="120">
        <f t="shared" si="0"/>
        <v>5.1144866509402771</v>
      </c>
    </row>
    <row r="20" spans="2:4" x14ac:dyDescent="0.25">
      <c r="B20" s="117" t="s">
        <v>11</v>
      </c>
      <c r="C20" s="126">
        <f>VLOOKUP(B20,'Data table'!$C$3:$K$18,9,FALSE)</f>
        <v>4.1868876944444438</v>
      </c>
      <c r="D20" s="118">
        <f t="shared" si="0"/>
        <v>1.0892055555555555</v>
      </c>
    </row>
    <row r="21" spans="2:4" x14ac:dyDescent="0.25">
      <c r="B21" s="122"/>
      <c r="C21" s="123"/>
      <c r="D21" s="124"/>
    </row>
    <row r="22" spans="2:4" x14ac:dyDescent="0.25">
      <c r="B22" s="45"/>
      <c r="C22" s="45"/>
      <c r="D22" s="45"/>
    </row>
  </sheetData>
  <sheetProtection password="B074" sheet="1" objects="1" scenarios="1"/>
  <sortState ref="B5:D20">
    <sortCondition descending="1" ref="D5:D20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M44"/>
  <sheetViews>
    <sheetView tabSelected="1" zoomScaleNormal="100" workbookViewId="0">
      <selection activeCell="B3" sqref="B3"/>
    </sheetView>
  </sheetViews>
  <sheetFormatPr defaultRowHeight="15" x14ac:dyDescent="0.25"/>
  <cols>
    <col min="1" max="1" width="1.28515625" customWidth="1"/>
    <col min="2" max="2" width="19.140625" customWidth="1"/>
    <col min="3" max="3" width="3" customWidth="1"/>
    <col min="4" max="4" width="15" customWidth="1"/>
    <col min="5" max="5" width="2.28515625" customWidth="1"/>
    <col min="6" max="6" width="23.85546875" customWidth="1"/>
    <col min="7" max="7" width="1.85546875" customWidth="1"/>
    <col min="8" max="8" width="3.42578125" customWidth="1"/>
    <col min="9" max="9" width="6.42578125" customWidth="1"/>
    <col min="10" max="10" width="18" bestFit="1" customWidth="1"/>
    <col min="11" max="11" width="4.7109375" customWidth="1"/>
    <col min="12" max="12" width="51.42578125" customWidth="1"/>
    <col min="13" max="13" width="31" customWidth="1"/>
    <col min="14" max="14" width="2.140625" customWidth="1"/>
  </cols>
  <sheetData>
    <row r="1" spans="1:1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8.75" x14ac:dyDescent="0.3">
      <c r="A3" s="4"/>
      <c r="B3" s="5"/>
      <c r="C3" s="10" t="s">
        <v>22</v>
      </c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5.75" x14ac:dyDescent="0.25">
      <c r="A4" s="4"/>
      <c r="B4" s="5"/>
      <c r="C4" s="11"/>
      <c r="D4" s="11" t="s">
        <v>23</v>
      </c>
      <c r="E4" s="129"/>
      <c r="F4" s="129"/>
      <c r="G4" s="5"/>
      <c r="H4" s="5"/>
      <c r="I4" s="5"/>
      <c r="J4" s="5"/>
      <c r="K4" s="5"/>
      <c r="L4" s="5"/>
      <c r="M4" s="6"/>
    </row>
    <row r="5" spans="1:13" x14ac:dyDescent="0.25">
      <c r="A5" s="4"/>
      <c r="B5" s="5"/>
      <c r="C5" s="5"/>
      <c r="D5" s="5" t="s">
        <v>43</v>
      </c>
      <c r="E5" s="129"/>
      <c r="F5" s="129"/>
      <c r="G5" s="5"/>
      <c r="H5" s="5"/>
      <c r="I5" s="5"/>
      <c r="J5" s="5"/>
      <c r="K5" s="5"/>
      <c r="L5" s="5"/>
      <c r="M5" s="6"/>
    </row>
    <row r="6" spans="1:13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6"/>
    </row>
    <row r="7" spans="1:13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6"/>
    </row>
    <row r="8" spans="1:13" ht="83.25" customHeight="1" x14ac:dyDescent="0.25">
      <c r="A8" s="4"/>
      <c r="B8" s="5" t="s">
        <v>27</v>
      </c>
      <c r="C8" s="5"/>
      <c r="D8" s="14" t="s">
        <v>35</v>
      </c>
      <c r="E8" s="14"/>
      <c r="F8" s="13" t="s">
        <v>66</v>
      </c>
      <c r="G8" s="13"/>
      <c r="H8" s="14"/>
      <c r="I8" s="5"/>
      <c r="J8" s="14" t="s">
        <v>90</v>
      </c>
      <c r="K8" s="5"/>
      <c r="L8" s="5" t="s">
        <v>42</v>
      </c>
      <c r="M8" s="6"/>
    </row>
    <row r="9" spans="1:13" x14ac:dyDescent="0.25">
      <c r="A9" s="4"/>
      <c r="B9" s="5"/>
      <c r="C9" s="5"/>
      <c r="D9" s="15">
        <v>0</v>
      </c>
      <c r="E9" s="17"/>
      <c r="F9" s="12" t="str">
        <f>'form control'!G3</f>
        <v>Gallons</v>
      </c>
      <c r="G9" s="16"/>
      <c r="H9" s="18"/>
      <c r="I9" s="5"/>
      <c r="J9" s="19">
        <f>(('Input sheet'!D9*'form control'!E3*'form control'!D3)/1000000)</f>
        <v>0</v>
      </c>
      <c r="K9" s="5"/>
      <c r="L9" s="19" t="str">
        <f>'form control'!F3</f>
        <v>WA Life Cycle Associates Report 2014</v>
      </c>
      <c r="M9" s="6"/>
    </row>
    <row r="10" spans="1:13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</row>
    <row r="11" spans="1:13" x14ac:dyDescent="0.25">
      <c r="A11" s="4"/>
      <c r="B11" s="5"/>
      <c r="C11" s="5"/>
      <c r="D11" s="15">
        <v>0</v>
      </c>
      <c r="E11" s="17"/>
      <c r="F11" s="12" t="str">
        <f>'form control'!G7</f>
        <v>Gallons</v>
      </c>
      <c r="G11" s="16"/>
      <c r="H11" s="18"/>
      <c r="I11" s="5"/>
      <c r="J11" s="19">
        <f>(D11*'form control'!E7*'form control'!D7)/1000000</f>
        <v>0</v>
      </c>
      <c r="K11" s="5"/>
      <c r="L11" s="19" t="str">
        <f>'form control'!F7</f>
        <v>WA Life Cycle Associates Report 2014</v>
      </c>
      <c r="M11" s="6"/>
    </row>
    <row r="12" spans="1:13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1:13" x14ac:dyDescent="0.25">
      <c r="A13" s="4"/>
      <c r="B13" s="5"/>
      <c r="C13" s="5"/>
      <c r="D13" s="15">
        <v>0</v>
      </c>
      <c r="E13" s="5"/>
      <c r="F13" s="12" t="str">
        <f>'form control'!G10</f>
        <v>Gallons</v>
      </c>
      <c r="G13" s="5"/>
      <c r="H13" s="18"/>
      <c r="I13" s="5"/>
      <c r="J13" s="19">
        <f>(D13*'form control'!E10*'form control'!D10)/1000000</f>
        <v>0</v>
      </c>
      <c r="K13" s="5"/>
      <c r="L13" s="19" t="str">
        <f>'form control'!F10</f>
        <v>WA Life Cycle Associates Report 2014</v>
      </c>
      <c r="M13" s="6"/>
    </row>
    <row r="14" spans="1:13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</row>
    <row r="15" spans="1:13" x14ac:dyDescent="0.25">
      <c r="A15" s="4"/>
      <c r="B15" s="5"/>
      <c r="C15" s="5"/>
      <c r="D15" s="15">
        <v>0</v>
      </c>
      <c r="E15" s="5"/>
      <c r="F15" s="12" t="str">
        <f>'form control'!G13</f>
        <v>Gallons</v>
      </c>
      <c r="G15" s="5"/>
      <c r="H15" s="18"/>
      <c r="I15" s="5"/>
      <c r="J15" s="19">
        <f>(D15*'form control'!E13*'form control'!D13)/1000000</f>
        <v>0</v>
      </c>
      <c r="K15" s="5"/>
      <c r="L15" s="19" t="str">
        <f>'form control'!F13</f>
        <v>WA Life Cycle Associates Report 2014</v>
      </c>
      <c r="M15" s="6"/>
    </row>
    <row r="16" spans="1:13" x14ac:dyDescent="0.25">
      <c r="A16" s="4"/>
      <c r="B16" s="5"/>
      <c r="C16" s="5"/>
      <c r="D16" s="5"/>
      <c r="E16" s="5"/>
      <c r="F16" s="5"/>
      <c r="G16" s="5"/>
      <c r="H16" s="20"/>
      <c r="I16" s="5"/>
      <c r="J16" s="5"/>
      <c r="K16" s="5"/>
      <c r="L16" s="5"/>
      <c r="M16" s="6"/>
    </row>
    <row r="17" spans="1:13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</row>
    <row r="18" spans="1:13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</row>
    <row r="19" spans="1:13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</row>
    <row r="20" spans="1:13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</row>
    <row r="21" spans="1:13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</row>
    <row r="22" spans="1:13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</row>
    <row r="23" spans="1:13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</row>
    <row r="24" spans="1:13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</row>
    <row r="25" spans="1:13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6"/>
    </row>
    <row r="26" spans="1:13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6"/>
    </row>
    <row r="27" spans="1:13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6"/>
    </row>
    <row r="28" spans="1:13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6"/>
    </row>
    <row r="29" spans="1:13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6"/>
    </row>
    <row r="30" spans="1:13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6"/>
    </row>
    <row r="31" spans="1:13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6"/>
    </row>
    <row r="32" spans="1:13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6"/>
    </row>
    <row r="33" spans="1:13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6"/>
    </row>
    <row r="34" spans="1:13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6"/>
    </row>
    <row r="35" spans="1:13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6"/>
    </row>
    <row r="36" spans="1:13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6"/>
    </row>
    <row r="37" spans="1:13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6"/>
    </row>
    <row r="38" spans="1:13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6"/>
    </row>
    <row r="39" spans="1:13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6"/>
    </row>
    <row r="40" spans="1:13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6"/>
    </row>
    <row r="41" spans="1:13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6"/>
    </row>
    <row r="42" spans="1:13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6"/>
    </row>
    <row r="43" spans="1:13" x14ac:dyDescent="0.25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6"/>
    </row>
    <row r="44" spans="1:13" x14ac:dyDescent="0.25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9"/>
    </row>
  </sheetData>
  <mergeCells count="2">
    <mergeCell ref="E4:F4"/>
    <mergeCell ref="E5:F5"/>
  </mergeCells>
  <pageMargins left="0.25" right="0.25" top="0.75" bottom="0.75" header="0.3" footer="0.3"/>
  <pageSetup scale="7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1</xdr:col>
                    <xdr:colOff>9525</xdr:colOff>
                    <xdr:row>8</xdr:row>
                    <xdr:rowOff>0</xdr:rowOff>
                  </from>
                  <to>
                    <xdr:col>2</xdr:col>
                    <xdr:colOff>19050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1</xdr:col>
                    <xdr:colOff>19050</xdr:colOff>
                    <xdr:row>9</xdr:row>
                    <xdr:rowOff>180975</xdr:rowOff>
                  </from>
                  <to>
                    <xdr:col>2</xdr:col>
                    <xdr:colOff>28575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Drop Down 4">
              <controlPr defaultSize="0" autoLine="0" autoPict="0">
                <anchor moveWithCells="1">
                  <from>
                    <xdr:col>1</xdr:col>
                    <xdr:colOff>19050</xdr:colOff>
                    <xdr:row>12</xdr:row>
                    <xdr:rowOff>0</xdr:rowOff>
                  </from>
                  <to>
                    <xdr:col>2</xdr:col>
                    <xdr:colOff>28575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Drop Down 5">
              <controlPr defaultSize="0" autoLine="0" autoPict="0">
                <anchor moveWithCells="1">
                  <from>
                    <xdr:col>1</xdr:col>
                    <xdr:colOff>19050</xdr:colOff>
                    <xdr:row>14</xdr:row>
                    <xdr:rowOff>0</xdr:rowOff>
                  </from>
                  <to>
                    <xdr:col>2</xdr:col>
                    <xdr:colOff>28575</xdr:colOff>
                    <xdr:row>15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32"/>
  <sheetViews>
    <sheetView zoomScale="70" zoomScaleNormal="70" workbookViewId="0">
      <selection activeCell="K10" sqref="K10"/>
    </sheetView>
  </sheetViews>
  <sheetFormatPr defaultRowHeight="15" x14ac:dyDescent="0.25"/>
  <cols>
    <col min="1" max="1" width="5.42578125" style="22" customWidth="1"/>
    <col min="2" max="2" width="6.85546875" style="22" customWidth="1"/>
    <col min="3" max="3" width="27.5703125" style="22" customWidth="1"/>
    <col min="4" max="4" width="17.28515625" style="22" customWidth="1"/>
    <col min="5" max="5" width="17.140625" style="22" customWidth="1"/>
    <col min="6" max="6" width="11.5703125" style="22" customWidth="1"/>
    <col min="7" max="7" width="12.7109375" style="22" customWidth="1"/>
    <col min="8" max="9" width="17.7109375" style="22" customWidth="1"/>
    <col min="10" max="10" width="15" style="22" customWidth="1"/>
    <col min="11" max="11" width="34.5703125" style="22" customWidth="1"/>
    <col min="12" max="12" width="23.42578125" style="22" customWidth="1"/>
    <col min="13" max="13" width="43" style="57" bestFit="1" customWidth="1"/>
    <col min="14" max="14" width="69.42578125" style="22" customWidth="1"/>
    <col min="15" max="16384" width="9.140625" style="22"/>
  </cols>
  <sheetData>
    <row r="1" spans="1:14" s="45" customFormat="1" ht="21" customHeight="1" x14ac:dyDescent="0.35">
      <c r="F1" s="46"/>
      <c r="G1" s="46"/>
      <c r="H1" s="46"/>
      <c r="I1" s="46"/>
      <c r="J1" s="46"/>
      <c r="K1" s="46"/>
      <c r="L1" s="47"/>
      <c r="M1" s="47"/>
    </row>
    <row r="2" spans="1:14" ht="69" customHeight="1" x14ac:dyDescent="0.25">
      <c r="A2" s="48" t="s">
        <v>28</v>
      </c>
      <c r="B2" s="48"/>
      <c r="C2" s="49" t="s">
        <v>0</v>
      </c>
      <c r="D2" s="50" t="s">
        <v>50</v>
      </c>
      <c r="E2" s="51" t="s">
        <v>39</v>
      </c>
      <c r="F2" s="51" t="s">
        <v>15</v>
      </c>
      <c r="G2" s="51" t="s">
        <v>16</v>
      </c>
      <c r="H2" s="51" t="s">
        <v>17</v>
      </c>
      <c r="I2" s="51" t="s">
        <v>10</v>
      </c>
      <c r="J2" s="51" t="s">
        <v>26</v>
      </c>
      <c r="K2" s="52" t="s">
        <v>45</v>
      </c>
      <c r="L2" s="53" t="s">
        <v>36</v>
      </c>
      <c r="M2" s="54" t="s">
        <v>46</v>
      </c>
      <c r="N2" s="54" t="s">
        <v>47</v>
      </c>
    </row>
    <row r="3" spans="1:14" ht="30" customHeight="1" x14ac:dyDescent="0.25">
      <c r="A3" s="55"/>
      <c r="B3" s="65">
        <v>1</v>
      </c>
      <c r="C3" s="66" t="s">
        <v>19</v>
      </c>
      <c r="D3" s="67" t="s">
        <v>5</v>
      </c>
      <c r="E3" s="68">
        <f t="shared" ref="E3:E18" si="0">H3/947.817</f>
        <v>117.95525929583454</v>
      </c>
      <c r="F3" s="69">
        <v>1</v>
      </c>
      <c r="G3" s="70">
        <f>1/1.14</f>
        <v>0.87719298245614041</v>
      </c>
      <c r="H3" s="71">
        <v>111800</v>
      </c>
      <c r="I3" s="72">
        <f t="shared" ref="I3:I15" si="1">K3*0.0022/0.000278</f>
        <v>796.90647482014401</v>
      </c>
      <c r="J3" s="72">
        <f t="shared" ref="J3:J18" si="2">(K3*118)/453.59</f>
        <v>26.196785643422476</v>
      </c>
      <c r="K3" s="73">
        <v>100.7</v>
      </c>
      <c r="L3" s="56" t="s">
        <v>55</v>
      </c>
      <c r="M3" s="57" t="s">
        <v>58</v>
      </c>
      <c r="N3" s="57"/>
    </row>
    <row r="4" spans="1:14" ht="30" customHeight="1" x14ac:dyDescent="0.25">
      <c r="A4" s="55"/>
      <c r="B4" s="65">
        <v>2</v>
      </c>
      <c r="C4" s="74" t="s">
        <v>20</v>
      </c>
      <c r="D4" s="75" t="s">
        <v>5</v>
      </c>
      <c r="E4" s="76">
        <f t="shared" si="0"/>
        <v>114.77954077633129</v>
      </c>
      <c r="F4" s="77">
        <f>(0.9*F3)+(0.1*F17)</f>
        <v>0.97310000000000008</v>
      </c>
      <c r="G4" s="77">
        <f>(0.9*G3)+(0.1*G17)</f>
        <v>0.85357368421052648</v>
      </c>
      <c r="H4" s="78">
        <f>(0.9*H3)+(0.1*H17)</f>
        <v>108790</v>
      </c>
      <c r="I4" s="79">
        <f t="shared" si="1"/>
        <v>783.5244604316548</v>
      </c>
      <c r="J4" s="80">
        <f t="shared" si="2"/>
        <v>25.756877356202743</v>
      </c>
      <c r="K4" s="81">
        <f>(K17*0.1)+(K3*0.9)</f>
        <v>99.009000000000015</v>
      </c>
      <c r="L4" s="56" t="s">
        <v>55</v>
      </c>
      <c r="M4" s="57" t="s">
        <v>52</v>
      </c>
      <c r="N4" s="57"/>
    </row>
    <row r="5" spans="1:14" ht="30" customHeight="1" x14ac:dyDescent="0.25">
      <c r="A5" s="55"/>
      <c r="B5" s="65">
        <v>3</v>
      </c>
      <c r="C5" s="82" t="s">
        <v>6</v>
      </c>
      <c r="D5" s="67" t="s">
        <v>5</v>
      </c>
      <c r="E5" s="68">
        <f t="shared" si="0"/>
        <v>134.51963828460558</v>
      </c>
      <c r="F5" s="83">
        <v>1.1399999999999999</v>
      </c>
      <c r="G5" s="69">
        <v>1</v>
      </c>
      <c r="H5" s="84">
        <v>127500</v>
      </c>
      <c r="I5" s="72">
        <f t="shared" si="1"/>
        <v>804.82014388489222</v>
      </c>
      <c r="J5" s="72">
        <f t="shared" si="2"/>
        <v>26.456932472056266</v>
      </c>
      <c r="K5" s="73">
        <v>101.7</v>
      </c>
      <c r="L5" s="56" t="s">
        <v>55</v>
      </c>
      <c r="M5" s="57" t="s">
        <v>58</v>
      </c>
      <c r="N5" s="57"/>
    </row>
    <row r="6" spans="1:14" ht="30" customHeight="1" x14ac:dyDescent="0.25">
      <c r="A6" s="55"/>
      <c r="B6" s="65">
        <v>4</v>
      </c>
      <c r="C6" s="85" t="s">
        <v>1</v>
      </c>
      <c r="D6" s="75" t="s">
        <v>5</v>
      </c>
      <c r="E6" s="76">
        <f t="shared" si="0"/>
        <v>117.95525929583454</v>
      </c>
      <c r="F6" s="86">
        <v>0.83199999999999996</v>
      </c>
      <c r="G6" s="87">
        <v>0.72899999999999998</v>
      </c>
      <c r="H6" s="88">
        <v>111800</v>
      </c>
      <c r="I6" s="79">
        <f t="shared" si="1"/>
        <v>622.56834532374103</v>
      </c>
      <c r="J6" s="80">
        <f t="shared" si="2"/>
        <v>20.465751008620121</v>
      </c>
      <c r="K6" s="81">
        <v>78.67</v>
      </c>
      <c r="L6" s="56" t="s">
        <v>56</v>
      </c>
      <c r="M6" s="57" t="s">
        <v>68</v>
      </c>
      <c r="N6" s="57" t="s">
        <v>53</v>
      </c>
    </row>
    <row r="7" spans="1:14" ht="30" customHeight="1" x14ac:dyDescent="0.25">
      <c r="A7" s="55"/>
      <c r="B7" s="65">
        <v>5</v>
      </c>
      <c r="C7" s="82" t="s">
        <v>2</v>
      </c>
      <c r="D7" s="67" t="s">
        <v>5</v>
      </c>
      <c r="E7" s="68">
        <f t="shared" si="0"/>
        <v>134.51963828460558</v>
      </c>
      <c r="F7" s="83">
        <v>0.63600000000000001</v>
      </c>
      <c r="G7" s="69">
        <v>0.55800000000000005</v>
      </c>
      <c r="H7" s="84">
        <v>127500</v>
      </c>
      <c r="I7" s="72">
        <f t="shared" si="1"/>
        <v>745.86330935251806</v>
      </c>
      <c r="J7" s="72">
        <f t="shared" si="2"/>
        <v>24.51883859873454</v>
      </c>
      <c r="K7" s="89">
        <v>94.25</v>
      </c>
      <c r="L7" s="58" t="s">
        <v>57</v>
      </c>
      <c r="M7" s="57" t="s">
        <v>68</v>
      </c>
      <c r="N7" s="57" t="s">
        <v>53</v>
      </c>
    </row>
    <row r="8" spans="1:14" ht="30" customHeight="1" x14ac:dyDescent="0.25">
      <c r="A8" s="55"/>
      <c r="B8" s="65">
        <v>6</v>
      </c>
      <c r="C8" s="90" t="s">
        <v>82</v>
      </c>
      <c r="D8" s="91" t="s">
        <v>5</v>
      </c>
      <c r="E8" s="92">
        <v>3600</v>
      </c>
      <c r="F8" s="93"/>
      <c r="G8" s="94"/>
      <c r="H8" s="95">
        <v>111800</v>
      </c>
      <c r="I8" s="96">
        <v>669</v>
      </c>
      <c r="J8" s="96">
        <f>(K8*118)/453.59</f>
        <v>21.928333333333331</v>
      </c>
      <c r="K8" s="97">
        <f t="shared" ref="K8:K11" si="3">(I8/3600)*453.59</f>
        <v>84.292141666666652</v>
      </c>
      <c r="L8" s="56" t="s">
        <v>51</v>
      </c>
      <c r="M8" s="57" t="s">
        <v>79</v>
      </c>
      <c r="N8" s="57"/>
    </row>
    <row r="9" spans="1:14" ht="30" customHeight="1" x14ac:dyDescent="0.25">
      <c r="A9" s="55"/>
      <c r="B9" s="65">
        <v>7</v>
      </c>
      <c r="C9" s="82" t="s">
        <v>11</v>
      </c>
      <c r="D9" s="67" t="s">
        <v>5</v>
      </c>
      <c r="E9" s="68">
        <v>3600</v>
      </c>
      <c r="F9" s="83"/>
      <c r="G9" s="69"/>
      <c r="H9" s="98">
        <v>111800</v>
      </c>
      <c r="I9" s="99">
        <v>33.229999999999997</v>
      </c>
      <c r="J9" s="72">
        <f>(K9*118)/453.59</f>
        <v>1.0892055555555555</v>
      </c>
      <c r="K9" s="100">
        <f>(I9/3600)*453.59</f>
        <v>4.1868876944444438</v>
      </c>
      <c r="L9" s="56" t="s">
        <v>51</v>
      </c>
      <c r="M9" s="57" t="s">
        <v>83</v>
      </c>
      <c r="N9" s="57" t="s">
        <v>71</v>
      </c>
    </row>
    <row r="10" spans="1:14" ht="30" customHeight="1" x14ac:dyDescent="0.25">
      <c r="A10" s="55"/>
      <c r="B10" s="65">
        <v>8</v>
      </c>
      <c r="C10" s="90" t="s">
        <v>12</v>
      </c>
      <c r="D10" s="91" t="s">
        <v>5</v>
      </c>
      <c r="E10" s="92">
        <v>3600</v>
      </c>
      <c r="F10" s="93"/>
      <c r="G10" s="94"/>
      <c r="H10" s="101">
        <v>111800</v>
      </c>
      <c r="I10" s="102">
        <v>990</v>
      </c>
      <c r="J10" s="96">
        <f t="shared" si="2"/>
        <v>32.450000000000003</v>
      </c>
      <c r="K10" s="103">
        <f t="shared" si="3"/>
        <v>124.73725</v>
      </c>
      <c r="L10" s="56" t="s">
        <v>51</v>
      </c>
      <c r="M10" s="57" t="s">
        <v>72</v>
      </c>
      <c r="N10" s="57" t="s">
        <v>84</v>
      </c>
    </row>
    <row r="11" spans="1:14" ht="30" customHeight="1" x14ac:dyDescent="0.25">
      <c r="A11" s="55"/>
      <c r="B11" s="65">
        <v>9</v>
      </c>
      <c r="C11" s="104" t="s">
        <v>49</v>
      </c>
      <c r="D11" s="105" t="s">
        <v>5</v>
      </c>
      <c r="E11" s="106">
        <v>3600</v>
      </c>
      <c r="F11" s="83"/>
      <c r="G11" s="69"/>
      <c r="H11" s="98">
        <v>111800</v>
      </c>
      <c r="I11" s="99">
        <v>638</v>
      </c>
      <c r="J11" s="72">
        <f t="shared" si="2"/>
        <v>20.912222222222223</v>
      </c>
      <c r="K11" s="100">
        <f t="shared" si="3"/>
        <v>80.386227777777776</v>
      </c>
      <c r="L11" s="56" t="s">
        <v>51</v>
      </c>
      <c r="M11" s="57" t="s">
        <v>70</v>
      </c>
      <c r="N11" s="57" t="s">
        <v>85</v>
      </c>
    </row>
    <row r="12" spans="1:14" ht="30" customHeight="1" x14ac:dyDescent="0.25">
      <c r="A12" s="55"/>
      <c r="B12" s="65">
        <v>10</v>
      </c>
      <c r="C12" s="107" t="s">
        <v>65</v>
      </c>
      <c r="D12" s="75" t="s">
        <v>5</v>
      </c>
      <c r="E12" s="76">
        <f t="shared" si="0"/>
        <v>117.95525929583454</v>
      </c>
      <c r="F12" s="86">
        <v>0.83199999999999996</v>
      </c>
      <c r="G12" s="87">
        <v>0.72899999999999998</v>
      </c>
      <c r="H12" s="108">
        <v>111800</v>
      </c>
      <c r="I12" s="79">
        <f t="shared" si="1"/>
        <v>387.7697841726619</v>
      </c>
      <c r="J12" s="80">
        <f t="shared" si="2"/>
        <v>12.747194603055624</v>
      </c>
      <c r="K12" s="81">
        <v>49</v>
      </c>
      <c r="L12" s="56" t="s">
        <v>80</v>
      </c>
      <c r="M12" s="57" t="s">
        <v>68</v>
      </c>
      <c r="N12" s="57" t="s">
        <v>69</v>
      </c>
    </row>
    <row r="13" spans="1:14" ht="30" customHeight="1" x14ac:dyDescent="0.25">
      <c r="A13" s="55"/>
      <c r="B13" s="65">
        <v>11</v>
      </c>
      <c r="C13" s="82" t="s">
        <v>3</v>
      </c>
      <c r="D13" s="67" t="s">
        <v>5</v>
      </c>
      <c r="E13" s="68">
        <f t="shared" si="0"/>
        <v>87.780658080621052</v>
      </c>
      <c r="F13" s="83">
        <v>0.74399999999999999</v>
      </c>
      <c r="G13" s="69">
        <v>0.65300000000000002</v>
      </c>
      <c r="H13" s="71">
        <v>83200</v>
      </c>
      <c r="I13" s="72">
        <f t="shared" si="1"/>
        <v>601.43884892086339</v>
      </c>
      <c r="J13" s="72">
        <f t="shared" si="2"/>
        <v>19.771158976167907</v>
      </c>
      <c r="K13" s="73">
        <v>76</v>
      </c>
      <c r="L13" s="56" t="s">
        <v>55</v>
      </c>
      <c r="M13" s="57" t="s">
        <v>54</v>
      </c>
      <c r="N13" s="57"/>
    </row>
    <row r="14" spans="1:14" ht="30" customHeight="1" x14ac:dyDescent="0.25">
      <c r="A14" s="55"/>
      <c r="B14" s="65">
        <v>12</v>
      </c>
      <c r="C14" s="85" t="s">
        <v>77</v>
      </c>
      <c r="D14" s="75" t="s">
        <v>5</v>
      </c>
      <c r="E14" s="76">
        <f t="shared" si="0"/>
        <v>123.54705602452795</v>
      </c>
      <c r="F14" s="86">
        <v>1.0469999999999999</v>
      </c>
      <c r="G14" s="87">
        <v>0.91800000000000004</v>
      </c>
      <c r="H14" s="109">
        <v>117100</v>
      </c>
      <c r="I14" s="79">
        <f t="shared" si="1"/>
        <v>409.92805755395688</v>
      </c>
      <c r="J14" s="80">
        <f t="shared" si="2"/>
        <v>13.475605723230229</v>
      </c>
      <c r="K14" s="81">
        <v>51.8</v>
      </c>
      <c r="L14" s="56" t="s">
        <v>55</v>
      </c>
      <c r="M14" s="57" t="s">
        <v>68</v>
      </c>
      <c r="N14" s="57" t="s">
        <v>48</v>
      </c>
    </row>
    <row r="15" spans="1:14" ht="30" customHeight="1" x14ac:dyDescent="0.25">
      <c r="A15" s="55"/>
      <c r="B15" s="65">
        <v>13</v>
      </c>
      <c r="C15" s="82" t="s">
        <v>76</v>
      </c>
      <c r="D15" s="67" t="s">
        <v>5</v>
      </c>
      <c r="E15" s="68">
        <f t="shared" si="0"/>
        <v>123.54705602452795</v>
      </c>
      <c r="F15" s="69">
        <v>1.0469999999999999</v>
      </c>
      <c r="G15" s="69">
        <v>0.91800000000000004</v>
      </c>
      <c r="H15" s="71">
        <v>117100</v>
      </c>
      <c r="I15" s="72">
        <f t="shared" si="1"/>
        <v>437.23021582733816</v>
      </c>
      <c r="J15" s="72">
        <f t="shared" si="2"/>
        <v>14.3731122820168</v>
      </c>
      <c r="K15" s="73">
        <v>55.25</v>
      </c>
      <c r="L15" s="56" t="s">
        <v>55</v>
      </c>
      <c r="M15" s="57" t="s">
        <v>68</v>
      </c>
      <c r="N15" s="57" t="s">
        <v>86</v>
      </c>
    </row>
    <row r="16" spans="1:14" ht="30" customHeight="1" x14ac:dyDescent="0.25">
      <c r="A16" s="55"/>
      <c r="B16" s="65">
        <v>14</v>
      </c>
      <c r="C16" s="85" t="s">
        <v>78</v>
      </c>
      <c r="D16" s="75" t="s">
        <v>5</v>
      </c>
      <c r="E16" s="76">
        <f t="shared" si="0"/>
        <v>123.54705602452795</v>
      </c>
      <c r="F16" s="87">
        <v>1.0469999999999999</v>
      </c>
      <c r="G16" s="87">
        <v>0.91800000000000004</v>
      </c>
      <c r="H16" s="109">
        <v>117100</v>
      </c>
      <c r="I16" s="79">
        <f>K16*0.0022/0.000278</f>
        <v>155.58273381294967</v>
      </c>
      <c r="J16" s="80">
        <f t="shared" si="2"/>
        <v>5.1144866509402771</v>
      </c>
      <c r="K16" s="81">
        <v>19.66</v>
      </c>
      <c r="L16" s="56" t="s">
        <v>55</v>
      </c>
      <c r="M16" s="57" t="s">
        <v>68</v>
      </c>
      <c r="N16" s="57" t="s">
        <v>67</v>
      </c>
    </row>
    <row r="17" spans="1:14" ht="30" customHeight="1" x14ac:dyDescent="0.25">
      <c r="A17" s="55"/>
      <c r="B17" s="65">
        <v>15</v>
      </c>
      <c r="C17" s="82" t="s">
        <v>74</v>
      </c>
      <c r="D17" s="67" t="s">
        <v>5</v>
      </c>
      <c r="E17" s="68">
        <f t="shared" si="0"/>
        <v>86.19807410080216</v>
      </c>
      <c r="F17" s="69">
        <v>0.73099999999999998</v>
      </c>
      <c r="G17" s="69">
        <v>0.64100000000000001</v>
      </c>
      <c r="H17" s="71">
        <v>81700</v>
      </c>
      <c r="I17" s="72">
        <f t="shared" ref="I17:I18" si="4">K17*0.0022/0.000278</f>
        <v>663.08633093525191</v>
      </c>
      <c r="J17" s="72">
        <f t="shared" si="2"/>
        <v>21.797702771225119</v>
      </c>
      <c r="K17" s="99">
        <v>83.79</v>
      </c>
      <c r="L17" s="56" t="s">
        <v>55</v>
      </c>
      <c r="M17" s="57" t="s">
        <v>68</v>
      </c>
      <c r="N17" s="57" t="s">
        <v>87</v>
      </c>
    </row>
    <row r="18" spans="1:14" ht="30" customHeight="1" thickBot="1" x14ac:dyDescent="0.3">
      <c r="A18" s="59"/>
      <c r="B18" s="110">
        <v>16</v>
      </c>
      <c r="C18" s="111" t="s">
        <v>75</v>
      </c>
      <c r="D18" s="75" t="s">
        <v>5</v>
      </c>
      <c r="E18" s="76">
        <f t="shared" si="0"/>
        <v>86.19807410080216</v>
      </c>
      <c r="F18" s="87">
        <v>0.73099999999999998</v>
      </c>
      <c r="G18" s="87">
        <v>0.64100000000000001</v>
      </c>
      <c r="H18" s="109">
        <v>81700</v>
      </c>
      <c r="I18" s="96">
        <f t="shared" si="4"/>
        <v>407.39568345323744</v>
      </c>
      <c r="J18" s="96">
        <f t="shared" si="2"/>
        <v>13.392358738067417</v>
      </c>
      <c r="K18" s="112">
        <v>51.48</v>
      </c>
      <c r="L18" s="56" t="s">
        <v>55</v>
      </c>
      <c r="M18" s="57" t="s">
        <v>68</v>
      </c>
      <c r="N18" s="57" t="s">
        <v>88</v>
      </c>
    </row>
    <row r="20" spans="1:14" x14ac:dyDescent="0.25">
      <c r="C20" s="22" t="s">
        <v>7</v>
      </c>
      <c r="K20" s="128" t="s">
        <v>89</v>
      </c>
    </row>
    <row r="21" spans="1:14" x14ac:dyDescent="0.25">
      <c r="C21" s="130" t="s">
        <v>8</v>
      </c>
      <c r="D21" s="130"/>
      <c r="E21" s="130"/>
      <c r="F21" s="130"/>
      <c r="G21" s="130"/>
      <c r="H21" s="130"/>
      <c r="I21" s="130"/>
      <c r="J21" s="130"/>
      <c r="K21" s="130"/>
      <c r="L21" s="60"/>
    </row>
    <row r="22" spans="1:14" x14ac:dyDescent="0.25">
      <c r="C22" s="130" t="s">
        <v>9</v>
      </c>
      <c r="D22" s="130"/>
      <c r="E22" s="130"/>
      <c r="F22" s="130"/>
      <c r="G22" s="130"/>
      <c r="H22" s="130"/>
      <c r="I22" s="130"/>
      <c r="J22" s="130"/>
      <c r="K22" s="130"/>
      <c r="L22" s="60"/>
    </row>
    <row r="23" spans="1:14" x14ac:dyDescent="0.25">
      <c r="C23" s="22" t="s">
        <v>13</v>
      </c>
    </row>
    <row r="24" spans="1:14" x14ac:dyDescent="0.25">
      <c r="C24" s="22" t="s">
        <v>18</v>
      </c>
    </row>
    <row r="25" spans="1:14" x14ac:dyDescent="0.25">
      <c r="C25" s="22" t="s">
        <v>14</v>
      </c>
    </row>
    <row r="26" spans="1:14" x14ac:dyDescent="0.25">
      <c r="C26" s="22" t="s">
        <v>41</v>
      </c>
    </row>
    <row r="27" spans="1:14" x14ac:dyDescent="0.25">
      <c r="C27" s="22" t="s">
        <v>25</v>
      </c>
    </row>
    <row r="28" spans="1:14" x14ac:dyDescent="0.25">
      <c r="C28" s="61" t="s">
        <v>44</v>
      </c>
    </row>
    <row r="30" spans="1:14" x14ac:dyDescent="0.25">
      <c r="D30" s="62">
        <v>6</v>
      </c>
      <c r="E30" s="63"/>
    </row>
    <row r="31" spans="1:14" x14ac:dyDescent="0.25">
      <c r="D31" s="64">
        <v>7</v>
      </c>
      <c r="E31" s="63"/>
    </row>
    <row r="32" spans="1:14" x14ac:dyDescent="0.25">
      <c r="D32" s="22" t="s">
        <v>24</v>
      </c>
    </row>
  </sheetData>
  <sheetProtection password="B074" sheet="1" objects="1" scenarios="1"/>
  <mergeCells count="2">
    <mergeCell ref="C21:K21"/>
    <mergeCell ref="C22:K2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8"/>
  <sheetViews>
    <sheetView workbookViewId="0">
      <selection activeCell="A38" sqref="A38"/>
    </sheetView>
  </sheetViews>
  <sheetFormatPr defaultRowHeight="15" x14ac:dyDescent="0.25"/>
  <cols>
    <col min="1" max="2" width="9.140625" style="22"/>
    <col min="3" max="3" width="32.5703125" style="22" customWidth="1"/>
    <col min="4" max="4" width="14.85546875" style="22" customWidth="1"/>
    <col min="5" max="5" width="9.140625" style="22"/>
    <col min="6" max="6" width="11.7109375" style="22" customWidth="1"/>
    <col min="7" max="16384" width="9.140625" style="22"/>
  </cols>
  <sheetData>
    <row r="1" spans="1:7" ht="30.75" customHeight="1" x14ac:dyDescent="0.25">
      <c r="A1" s="21" t="s">
        <v>38</v>
      </c>
    </row>
    <row r="2" spans="1:7" ht="15.75" thickBot="1" x14ac:dyDescent="0.3">
      <c r="A2" s="23" t="s">
        <v>30</v>
      </c>
      <c r="B2" s="24"/>
      <c r="C2" s="25" t="s">
        <v>37</v>
      </c>
      <c r="D2" s="22" t="s">
        <v>81</v>
      </c>
      <c r="E2" s="22" t="s">
        <v>40</v>
      </c>
      <c r="F2" s="22" t="s">
        <v>29</v>
      </c>
      <c r="G2" s="22" t="s">
        <v>34</v>
      </c>
    </row>
    <row r="3" spans="1:7" x14ac:dyDescent="0.25">
      <c r="A3" s="44">
        <v>1</v>
      </c>
      <c r="B3" s="36">
        <v>1</v>
      </c>
      <c r="C3" s="37" t="s">
        <v>19</v>
      </c>
      <c r="D3" s="31">
        <f>VLOOKUP('form control'!A3,'Data table'!B3:L18,10,FALSE)</f>
        <v>100.7</v>
      </c>
      <c r="E3" s="31">
        <f>VLOOKUP('form control'!A3,'Data table'!B3:L18,4,FALSE)</f>
        <v>117.95525929583454</v>
      </c>
      <c r="F3" s="23" t="str">
        <f>VLOOKUP('form control'!A3,'Data table'!B3:M18,12,FALSE)</f>
        <v>WA Life Cycle Associates Report 2014</v>
      </c>
      <c r="G3" s="23" t="str">
        <f>VLOOKUP('form control'!A3,'Data table'!B3:L18,11,FALSE)</f>
        <v>Gallons</v>
      </c>
    </row>
    <row r="4" spans="1:7" ht="15.75" thickBot="1" x14ac:dyDescent="0.3">
      <c r="A4" s="26"/>
      <c r="B4" s="38">
        <v>2</v>
      </c>
      <c r="C4" s="39" t="s">
        <v>20</v>
      </c>
    </row>
    <row r="5" spans="1:7" x14ac:dyDescent="0.25">
      <c r="B5" s="38">
        <v>3</v>
      </c>
      <c r="C5" s="39" t="s">
        <v>6</v>
      </c>
    </row>
    <row r="6" spans="1:7" ht="15.75" thickBot="1" x14ac:dyDescent="0.3">
      <c r="A6" s="27" t="s">
        <v>31</v>
      </c>
      <c r="B6" s="38">
        <v>4</v>
      </c>
      <c r="C6" s="39" t="s">
        <v>1</v>
      </c>
    </row>
    <row r="7" spans="1:7" x14ac:dyDescent="0.25">
      <c r="A7" s="43">
        <v>1</v>
      </c>
      <c r="B7" s="38">
        <v>5</v>
      </c>
      <c r="C7" s="39" t="s">
        <v>2</v>
      </c>
      <c r="D7" s="32">
        <f>VLOOKUP('form control'!A7,'Data table'!B3:L18,10,FALSE)</f>
        <v>100.7</v>
      </c>
      <c r="E7" s="32">
        <f>VLOOKUP('form control'!A7,'Data table'!B3:L18,4,FALSE)</f>
        <v>117.95525929583454</v>
      </c>
      <c r="F7" s="22" t="str">
        <f>VLOOKUP('form control'!A7,'Data table'!B3:M18,12,FALSE)</f>
        <v>WA Life Cycle Associates Report 2014</v>
      </c>
      <c r="G7" s="27" t="str">
        <f>VLOOKUP('form control'!A7,'Data table'!B3:L18,11,FALSE)</f>
        <v>Gallons</v>
      </c>
    </row>
    <row r="8" spans="1:7" ht="15.75" thickBot="1" x14ac:dyDescent="0.3">
      <c r="A8" s="26"/>
      <c r="B8" s="38">
        <v>6</v>
      </c>
      <c r="C8" s="39" t="s">
        <v>73</v>
      </c>
    </row>
    <row r="9" spans="1:7" ht="15.75" thickBot="1" x14ac:dyDescent="0.3">
      <c r="A9" s="28" t="s">
        <v>32</v>
      </c>
      <c r="B9" s="38">
        <v>7</v>
      </c>
      <c r="C9" s="39" t="s">
        <v>11</v>
      </c>
    </row>
    <row r="10" spans="1:7" x14ac:dyDescent="0.25">
      <c r="A10" s="42">
        <v>1</v>
      </c>
      <c r="B10" s="38">
        <v>8</v>
      </c>
      <c r="C10" s="39" t="s">
        <v>12</v>
      </c>
      <c r="D10" s="33">
        <f>VLOOKUP('form control'!A10,'Data table'!B3:L18,10,FALSE)</f>
        <v>100.7</v>
      </c>
      <c r="E10" s="33">
        <f>VLOOKUP('form control'!A10,'Data table'!B3:L18,4,FALSE)</f>
        <v>117.95525929583454</v>
      </c>
      <c r="F10" s="22" t="str">
        <f>VLOOKUP('form control'!A10,'Data table'!B3:M18,12,FALSE)</f>
        <v>WA Life Cycle Associates Report 2014</v>
      </c>
      <c r="G10" s="28" t="str">
        <f>VLOOKUP('form control'!A10,'Data table'!B3:L18,11,FALSE)</f>
        <v>Gallons</v>
      </c>
    </row>
    <row r="11" spans="1:7" ht="15.75" thickBot="1" x14ac:dyDescent="0.3">
      <c r="A11" s="26"/>
      <c r="B11" s="38">
        <v>9</v>
      </c>
      <c r="C11" s="39" t="s">
        <v>49</v>
      </c>
      <c r="D11" s="34"/>
    </row>
    <row r="12" spans="1:7" ht="15.75" thickBot="1" x14ac:dyDescent="0.3">
      <c r="A12" s="29" t="s">
        <v>33</v>
      </c>
      <c r="B12" s="38">
        <v>10</v>
      </c>
      <c r="C12" s="39" t="s">
        <v>65</v>
      </c>
    </row>
    <row r="13" spans="1:7" x14ac:dyDescent="0.25">
      <c r="A13" s="41">
        <v>1</v>
      </c>
      <c r="B13" s="38">
        <v>11</v>
      </c>
      <c r="C13" s="39" t="s">
        <v>3</v>
      </c>
      <c r="D13" s="35">
        <f>VLOOKUP('form control'!A13,'Data table'!B3:L18,10,FALSE)</f>
        <v>100.7</v>
      </c>
      <c r="E13" s="35">
        <f>VLOOKUP('form control'!A13,'Data table'!B3:L18,4,FALSE)</f>
        <v>117.95525929583454</v>
      </c>
      <c r="F13" s="29" t="str">
        <f>VLOOKUP('form control'!A13,'Data table'!B3:M18,12,FALSE)</f>
        <v>WA Life Cycle Associates Report 2014</v>
      </c>
      <c r="G13" s="29" t="str">
        <f>VLOOKUP('form control'!A13,'Data table'!B3:L18,11,FALSE)</f>
        <v>Gallons</v>
      </c>
    </row>
    <row r="14" spans="1:7" x14ac:dyDescent="0.25">
      <c r="A14" s="30"/>
      <c r="B14" s="38">
        <v>12</v>
      </c>
      <c r="C14" s="39" t="s">
        <v>63</v>
      </c>
      <c r="D14" s="29"/>
      <c r="E14" s="29"/>
      <c r="F14" s="29"/>
      <c r="G14" s="29"/>
    </row>
    <row r="15" spans="1:7" ht="15.75" thickBot="1" x14ac:dyDescent="0.3">
      <c r="A15" s="26"/>
      <c r="B15" s="38">
        <v>13</v>
      </c>
      <c r="C15" s="39" t="s">
        <v>59</v>
      </c>
    </row>
    <row r="16" spans="1:7" x14ac:dyDescent="0.25">
      <c r="B16" s="38">
        <v>14</v>
      </c>
      <c r="C16" s="39" t="s">
        <v>60</v>
      </c>
    </row>
    <row r="17" spans="2:3" x14ac:dyDescent="0.25">
      <c r="B17" s="38">
        <v>15</v>
      </c>
      <c r="C17" s="39" t="s">
        <v>4</v>
      </c>
    </row>
    <row r="18" spans="2:3" x14ac:dyDescent="0.25">
      <c r="B18" s="38">
        <v>16</v>
      </c>
      <c r="C18" s="40" t="s">
        <v>21</v>
      </c>
    </row>
  </sheetData>
  <sheetProtection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Graph</vt:lpstr>
      <vt:lpstr>Input sheet</vt:lpstr>
      <vt:lpstr>Data table</vt:lpstr>
      <vt:lpstr>form control</vt:lpstr>
      <vt:lpstr>'Input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DuSablon</dc:creator>
  <cp:lastModifiedBy>Scott DeWees</cp:lastModifiedBy>
  <cp:lastPrinted>2016-01-08T22:34:53Z</cp:lastPrinted>
  <dcterms:created xsi:type="dcterms:W3CDTF">2015-08-26T21:53:35Z</dcterms:created>
  <dcterms:modified xsi:type="dcterms:W3CDTF">2016-05-25T17:52:41Z</dcterms:modified>
</cp:coreProperties>
</file>